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itimaM\Downloads\"/>
    </mc:Choice>
  </mc:AlternateContent>
  <bookViews>
    <workbookView xWindow="0" yWindow="0" windowWidth="15324" windowHeight="7296"/>
  </bookViews>
  <sheets>
    <sheet name="ผลตอบแทนผู้ลงทุน" sheetId="2" r:id="rId1"/>
    <sheet name="รายการใช้จ่าย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D19" i="2" s="1"/>
  <c r="E19" i="2" s="1"/>
  <c r="F19" i="2" s="1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V19" i="2" s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H17" i="1"/>
  <c r="G17" i="1"/>
  <c r="F17" i="1"/>
  <c r="E17" i="1"/>
  <c r="D17" i="1"/>
  <c r="C17" i="1"/>
  <c r="C15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B17" i="2"/>
  <c r="B16" i="2"/>
  <c r="W15" i="2"/>
  <c r="B14" i="2"/>
  <c r="W13" i="2"/>
  <c r="W12" i="2"/>
  <c r="V11" i="2"/>
  <c r="V16" i="2" s="1"/>
  <c r="V17" i="2" s="1"/>
  <c r="N11" i="2"/>
  <c r="N16" i="2" s="1"/>
  <c r="N17" i="2" s="1"/>
  <c r="F11" i="2"/>
  <c r="F16" i="2" s="1"/>
  <c r="F17" i="2" s="1"/>
  <c r="B7" i="2"/>
  <c r="B6" i="2"/>
  <c r="B5" i="2"/>
  <c r="B2" i="2"/>
  <c r="U11" i="2" s="1"/>
  <c r="B25" i="1"/>
  <c r="U14" i="2" l="1"/>
  <c r="U16" i="2"/>
  <c r="U17" i="2" s="1"/>
  <c r="N14" i="2"/>
  <c r="V14" i="2"/>
  <c r="G11" i="2"/>
  <c r="P11" i="2"/>
  <c r="Q11" i="2"/>
  <c r="H11" i="2"/>
  <c r="J11" i="2"/>
  <c r="R11" i="2"/>
  <c r="C11" i="2"/>
  <c r="K11" i="2"/>
  <c r="S11" i="2"/>
  <c r="F14" i="2"/>
  <c r="L11" i="2"/>
  <c r="O11" i="2"/>
  <c r="I11" i="2"/>
  <c r="D11" i="2"/>
  <c r="T11" i="2"/>
  <c r="E11" i="2"/>
  <c r="M11" i="2"/>
  <c r="H14" i="1"/>
  <c r="G14" i="1"/>
  <c r="F14" i="1"/>
  <c r="E14" i="1"/>
  <c r="D14" i="1"/>
  <c r="C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V14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G14" i="2" l="1"/>
  <c r="G16" i="2"/>
  <c r="G17" i="2" s="1"/>
  <c r="K14" i="2"/>
  <c r="K16" i="2"/>
  <c r="K17" i="2" s="1"/>
  <c r="T14" i="2"/>
  <c r="T16" i="2"/>
  <c r="T17" i="2" s="1"/>
  <c r="W11" i="2"/>
  <c r="C14" i="2"/>
  <c r="W14" i="2" s="1"/>
  <c r="C16" i="2"/>
  <c r="S14" i="2"/>
  <c r="S16" i="2"/>
  <c r="S17" i="2" s="1"/>
  <c r="E14" i="2"/>
  <c r="E16" i="2"/>
  <c r="E17" i="2" s="1"/>
  <c r="I14" i="2"/>
  <c r="I16" i="2"/>
  <c r="I17" i="2" s="1"/>
  <c r="P14" i="2"/>
  <c r="P16" i="2"/>
  <c r="P17" i="2" s="1"/>
  <c r="R16" i="2"/>
  <c r="R17" i="2" s="1"/>
  <c r="R14" i="2"/>
  <c r="O14" i="2"/>
  <c r="O16" i="2"/>
  <c r="O17" i="2" s="1"/>
  <c r="H14" i="2"/>
  <c r="H16" i="2"/>
  <c r="H17" i="2" s="1"/>
  <c r="M14" i="2"/>
  <c r="M16" i="2"/>
  <c r="M17" i="2" s="1"/>
  <c r="D14" i="2"/>
  <c r="D16" i="2"/>
  <c r="D17" i="2" s="1"/>
  <c r="J14" i="2"/>
  <c r="J16" i="2"/>
  <c r="J17" i="2" s="1"/>
  <c r="L14" i="2"/>
  <c r="L16" i="2"/>
  <c r="L17" i="2" s="1"/>
  <c r="Q14" i="2"/>
  <c r="Q16" i="2"/>
  <c r="Q17" i="2" s="1"/>
  <c r="B5" i="1"/>
  <c r="B2" i="1"/>
  <c r="B7" i="1"/>
  <c r="B6" i="1"/>
  <c r="V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R11" i="1"/>
  <c r="S11" i="1"/>
  <c r="T11" i="1"/>
  <c r="U11" i="1"/>
  <c r="W18" i="1"/>
  <c r="W12" i="1"/>
  <c r="W13" i="1"/>
  <c r="B19" i="1"/>
  <c r="B20" i="1"/>
  <c r="B14" i="1"/>
  <c r="I20" i="1"/>
  <c r="V20" i="1"/>
  <c r="T20" i="1"/>
  <c r="H20" i="1"/>
  <c r="Q20" i="1"/>
  <c r="P20" i="1"/>
  <c r="O20" i="1"/>
  <c r="M20" i="1"/>
  <c r="D20" i="1"/>
  <c r="J20" i="1"/>
  <c r="G20" i="1"/>
  <c r="U20" i="1"/>
  <c r="F20" i="1"/>
  <c r="N20" i="1"/>
  <c r="R20" i="1"/>
  <c r="L20" i="1"/>
  <c r="K20" i="1"/>
  <c r="E20" i="1"/>
  <c r="W11" i="1"/>
  <c r="S20" i="1"/>
  <c r="C25" i="1"/>
  <c r="W14" i="1"/>
  <c r="C20" i="1"/>
  <c r="B26" i="1"/>
  <c r="W19" i="1"/>
  <c r="W16" i="2" l="1"/>
  <c r="C17" i="2"/>
  <c r="B24" i="2"/>
  <c r="C24" i="2" s="1"/>
  <c r="C20" i="2" l="1"/>
  <c r="D20" i="2" s="1"/>
  <c r="E20" i="2" s="1"/>
  <c r="F20" i="2" s="1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B25" i="2"/>
</calcChain>
</file>

<file path=xl/sharedStrings.xml><?xml version="1.0" encoding="utf-8"?>
<sst xmlns="http://schemas.openxmlformats.org/spreadsheetml/2006/main" count="131" uniqueCount="54">
  <si>
    <t xml:space="preserve">ผลิตไฟฟ้าได้วันละ </t>
  </si>
  <si>
    <t>ยูนิต (คำนวณ วันละ 5 ชม. คิดชม.ละ 5,000 ยูนิต)</t>
  </si>
  <si>
    <t>วันทำงาน สัปดาห์ละ</t>
  </si>
  <si>
    <t xml:space="preserve">วัน </t>
  </si>
  <si>
    <t>1 ปี มี</t>
  </si>
  <si>
    <t>สัปดาห์</t>
  </si>
  <si>
    <t xml:space="preserve">ค่าไฟฟ้า คิดยูนิตละ </t>
  </si>
  <si>
    <t>บาท (วันทำงาน)</t>
  </si>
  <si>
    <t>บาท (วันหยุด)</t>
  </si>
  <si>
    <t>ประมาณการ</t>
  </si>
  <si>
    <t>รายการ</t>
  </si>
  <si>
    <t>ปีที่ 0</t>
  </si>
  <si>
    <t>ปีที่ 1</t>
  </si>
  <si>
    <t>ปีที่ 2</t>
  </si>
  <si>
    <t>ปีที่ 3</t>
  </si>
  <si>
    <t>ปีที่ 4</t>
  </si>
  <si>
    <t>ปีที่ 5</t>
  </si>
  <si>
    <t>ปีที่ 6</t>
  </si>
  <si>
    <t>ปีที่ 7</t>
  </si>
  <si>
    <t>ปีที่ 8</t>
  </si>
  <si>
    <t>ปีที่ 9</t>
  </si>
  <si>
    <t>ปีที่ 10</t>
  </si>
  <si>
    <t>ปีที่ 11</t>
  </si>
  <si>
    <t>ปีที่ 12</t>
  </si>
  <si>
    <t>ปีที่ 13</t>
  </si>
  <si>
    <t>ปีที่ 14</t>
  </si>
  <si>
    <t>ปีที่ 15</t>
  </si>
  <si>
    <t>ปีที่ 16</t>
  </si>
  <si>
    <t>ปีที่ 17</t>
  </si>
  <si>
    <t>ปีที่ 18</t>
  </si>
  <si>
    <t>ปีที่ 19</t>
  </si>
  <si>
    <t>ปีที่ 20</t>
  </si>
  <si>
    <t>รายจ่าย</t>
  </si>
  <si>
    <t>รายรับ</t>
  </si>
  <si>
    <t>ค่าไฟฟ้าจากหน่วยงาน</t>
  </si>
  <si>
    <t>NPV (rate 7.5%)</t>
  </si>
  <si>
    <t>IRR</t>
  </si>
  <si>
    <t>หมายเหตุ</t>
  </si>
  <si>
    <t>ค่าห้องปฏิบัติการ</t>
  </si>
  <si>
    <t>เงินลงทุน (ผู้ลงทุน)</t>
  </si>
  <si>
    <t>เท่า ของเงินลงทุน</t>
  </si>
  <si>
    <t>ผลตอบแทนผู้ลงทุน</t>
  </si>
  <si>
    <t>วันเสาร์อาทิตย์และวันหยุดพิเศษ (คิด 21 วัน)</t>
  </si>
  <si>
    <t>ค่าตอบแทนผู้ลงทุน (83% :6 ปีแรก)(50% : ปีต่อไปนับจากคืนทุน)</t>
  </si>
  <si>
    <t>ค่าดำเนินการ (17% : 6 ปีแรก) (50% : ปีต่อไปนับจากคืนทุนผู้ลงทุน)</t>
  </si>
  <si>
    <t>Break even Point</t>
  </si>
  <si>
    <t xml:space="preserve"> </t>
  </si>
  <si>
    <t xml:space="preserve"> (5 ปี 2 เดือน)</t>
  </si>
  <si>
    <t>ระยะเวลาก่อสร้างประมาณ 3 เดือน (เริ่มก่อสร้างและติดตั้ง ต.ค.-ธ.ค.67)</t>
  </si>
  <si>
    <t xml:space="preserve"> - เงินเดือนพนักงาน</t>
  </si>
  <si>
    <t xml:space="preserve"> - ค่าอุปกรณ์แผงโซลา และอุปกรณ์ &amp; ค่าก่อสร้าง</t>
  </si>
  <si>
    <t xml:space="preserve"> - ค่าบำรุงรักษา</t>
  </si>
  <si>
    <t>รายได้สะสม</t>
  </si>
  <si>
    <t>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</si>
</sst>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$&quot;#,##0.00_);[Red]\(&quot;$&quot;#,##0.00\)"/>
    <numFmt numFmtId="165" formatCode="_(* #,##0.00_);_(* \(#,##0.00\);_(* &quot;-&quot;??_);_(@_)"/>
    <numFmt numFmtId="166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ordia New"/>
      <family val="2"/>
    </font>
    <font>
      <sz val="10"/>
      <name val="Tahoma"/>
      <family val="2"/>
    </font>
    <font>
      <sz val="10"/>
      <color rgb="FFFF0000"/>
      <name val="Tahoma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3" applyFont="1" applyAlignment="1" applyProtection="1">
      <alignment vertical="center"/>
      <protection locked="0"/>
    </xf>
    <xf numFmtId="166" fontId="4" fillId="0" borderId="0" xfId="4" applyNumberFormat="1" applyFont="1" applyFill="1" applyBorder="1" applyAlignment="1" applyProtection="1">
      <alignment vertical="center"/>
      <protection locked="0"/>
    </xf>
    <xf numFmtId="37" fontId="4" fillId="0" borderId="0" xfId="3" applyNumberFormat="1" applyFont="1" applyAlignment="1" applyProtection="1">
      <alignment vertical="center"/>
      <protection locked="0"/>
    </xf>
    <xf numFmtId="0" fontId="5" fillId="0" borderId="0" xfId="3" applyFont="1" applyAlignment="1" applyProtection="1">
      <alignment vertical="center"/>
      <protection locked="0"/>
    </xf>
    <xf numFmtId="166" fontId="5" fillId="0" borderId="0" xfId="4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7" fillId="0" borderId="0" xfId="0" applyFont="1"/>
    <xf numFmtId="165" fontId="7" fillId="0" borderId="0" xfId="1" applyFont="1"/>
    <xf numFmtId="165" fontId="7" fillId="0" borderId="0" xfId="0" applyNumberFormat="1" applyFont="1"/>
    <xf numFmtId="0" fontId="7" fillId="0" borderId="0" xfId="0" applyFont="1" applyAlignment="1">
      <alignment horizontal="center"/>
    </xf>
    <xf numFmtId="165" fontId="8" fillId="0" borderId="0" xfId="0" applyNumberFormat="1" applyFont="1"/>
    <xf numFmtId="165" fontId="9" fillId="0" borderId="0" xfId="0" applyNumberFormat="1" applyFont="1"/>
    <xf numFmtId="0" fontId="10" fillId="2" borderId="0" xfId="0" applyFont="1" applyFill="1"/>
    <xf numFmtId="164" fontId="10" fillId="2" borderId="0" xfId="0" applyNumberFormat="1" applyFont="1" applyFill="1"/>
    <xf numFmtId="10" fontId="10" fillId="2" borderId="0" xfId="2" applyNumberFormat="1" applyFont="1" applyFill="1"/>
    <xf numFmtId="0" fontId="11" fillId="0" borderId="0" xfId="0" applyFont="1"/>
    <xf numFmtId="165" fontId="11" fillId="0" borderId="0" xfId="0" applyNumberFormat="1" applyFont="1"/>
    <xf numFmtId="0" fontId="2" fillId="0" borderId="0" xfId="0" applyFont="1"/>
    <xf numFmtId="165" fontId="12" fillId="0" borderId="0" xfId="0" applyNumberFormat="1" applyFont="1"/>
    <xf numFmtId="2" fontId="0" fillId="0" borderId="0" xfId="0" applyNumberFormat="1"/>
    <xf numFmtId="165" fontId="13" fillId="0" borderId="0" xfId="0" applyNumberFormat="1" applyFont="1"/>
    <xf numFmtId="165" fontId="4" fillId="0" borderId="0" xfId="1" applyFont="1" applyAlignment="1" applyProtection="1">
      <alignment vertical="center"/>
      <protection locked="0"/>
    </xf>
    <xf numFmtId="165" fontId="5" fillId="0" borderId="0" xfId="1" applyFont="1" applyAlignment="1" applyProtection="1">
      <alignment vertical="center"/>
      <protection locked="0"/>
    </xf>
    <xf numFmtId="43" fontId="0" fillId="0" borderId="0" xfId="0" applyNumberFormat="1"/>
    <xf numFmtId="165" fontId="10" fillId="2" borderId="0" xfId="1" applyFont="1" applyFill="1"/>
    <xf numFmtId="0" fontId="15" fillId="0" borderId="0" xfId="0" applyFont="1"/>
    <xf numFmtId="165" fontId="15" fillId="0" borderId="0" xfId="0" applyNumberFormat="1" applyFont="1"/>
    <xf numFmtId="0" fontId="15" fillId="0" borderId="0" xfId="0" applyNumberFormat="1" applyFont="1"/>
    <xf numFmtId="0" fontId="7" fillId="3" borderId="0" xfId="0" applyFont="1" applyFill="1"/>
    <xf numFmtId="165" fontId="9" fillId="3" borderId="0" xfId="0" applyNumberFormat="1" applyFont="1" applyFill="1"/>
    <xf numFmtId="165" fontId="7" fillId="3" borderId="0" xfId="0" applyNumberFormat="1" applyFont="1" applyFill="1"/>
    <xf numFmtId="165" fontId="14" fillId="3" borderId="0" xfId="0" applyNumberFormat="1" applyFont="1" applyFill="1"/>
  </cellXfs>
  <cellStyles count="5">
    <cellStyle name="Comma" xfId="1" builtinId="3"/>
    <cellStyle name="Normal" xfId="0" builtinId="0"/>
    <cellStyle name="Normal_ch19" xfId="3"/>
    <cellStyle name="Percent" xfId="2" builtinId="5"/>
    <cellStyle name="เครื่องหมายจุลภาค_EXCEL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เปรียบเทียบผลตอบแทนการลงทุน</a:t>
            </a:r>
            <a:endParaRPr lang="en-US"/>
          </a:p>
        </c:rich>
      </c:tx>
      <c:layout>
        <c:manualLayout>
          <c:xMode val="edge"/>
          <c:yMode val="edge"/>
          <c:x val="0.37816434724983433"/>
          <c:y val="2.928301517273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ผลตอบแทนผู้ลงทุน!$A$19</c:f>
              <c:strCache>
                <c:ptCount val="1"/>
                <c:pt idx="0">
                  <c:v>ลงทุน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ผลตอบแทนผู้ลงทุน!$B$18:$V$18</c:f>
              <c:strCache>
                <c:ptCount val="21"/>
                <c:pt idx="0">
                  <c:v>ปีที่ 0</c:v>
                </c:pt>
                <c:pt idx="1">
                  <c:v>ปีที่ 1</c:v>
                </c:pt>
                <c:pt idx="2">
                  <c:v>ปีที่ 2</c:v>
                </c:pt>
                <c:pt idx="3">
                  <c:v>ปีที่ 3</c:v>
                </c:pt>
                <c:pt idx="4">
                  <c:v>ปีที่ 4</c:v>
                </c:pt>
                <c:pt idx="5">
                  <c:v>ปีที่ 5</c:v>
                </c:pt>
                <c:pt idx="6">
                  <c:v>ปีที่ 6</c:v>
                </c:pt>
                <c:pt idx="7">
                  <c:v>ปีที่ 7</c:v>
                </c:pt>
                <c:pt idx="8">
                  <c:v>ปีที่ 8</c:v>
                </c:pt>
                <c:pt idx="9">
                  <c:v>ปีที่ 9</c:v>
                </c:pt>
                <c:pt idx="10">
                  <c:v>ปีที่ 10</c:v>
                </c:pt>
                <c:pt idx="11">
                  <c:v>ปีที่ 11</c:v>
                </c:pt>
                <c:pt idx="12">
                  <c:v>ปีที่ 12</c:v>
                </c:pt>
                <c:pt idx="13">
                  <c:v>ปีที่ 13</c:v>
                </c:pt>
                <c:pt idx="14">
                  <c:v>ปีที่ 14</c:v>
                </c:pt>
                <c:pt idx="15">
                  <c:v>ปีที่ 15</c:v>
                </c:pt>
                <c:pt idx="16">
                  <c:v>ปีที่ 16</c:v>
                </c:pt>
                <c:pt idx="17">
                  <c:v>ปีที่ 17</c:v>
                </c:pt>
                <c:pt idx="18">
                  <c:v>ปีที่ 18</c:v>
                </c:pt>
                <c:pt idx="19">
                  <c:v>ปีที่ 19</c:v>
                </c:pt>
                <c:pt idx="20">
                  <c:v>ปีที่ 20</c:v>
                </c:pt>
              </c:strCache>
            </c:strRef>
          </c:cat>
          <c:val>
            <c:numRef>
              <c:f>ผลตอบแทนผู้ลงทุน!$B$19:$V$19</c:f>
              <c:numCache>
                <c:formatCode>General</c:formatCode>
                <c:ptCount val="21"/>
                <c:pt idx="0">
                  <c:v>150000000</c:v>
                </c:pt>
                <c:pt idx="1">
                  <c:v>150000000</c:v>
                </c:pt>
                <c:pt idx="2">
                  <c:v>150000000</c:v>
                </c:pt>
                <c:pt idx="3">
                  <c:v>150000000</c:v>
                </c:pt>
                <c:pt idx="4">
                  <c:v>150000000</c:v>
                </c:pt>
                <c:pt idx="5">
                  <c:v>150000000</c:v>
                </c:pt>
                <c:pt idx="6">
                  <c:v>150000000</c:v>
                </c:pt>
                <c:pt idx="7">
                  <c:v>150000000</c:v>
                </c:pt>
                <c:pt idx="8">
                  <c:v>150000000</c:v>
                </c:pt>
                <c:pt idx="9">
                  <c:v>150000000</c:v>
                </c:pt>
                <c:pt idx="10">
                  <c:v>150000000</c:v>
                </c:pt>
                <c:pt idx="11">
                  <c:v>150000000</c:v>
                </c:pt>
                <c:pt idx="12">
                  <c:v>150000000</c:v>
                </c:pt>
                <c:pt idx="13">
                  <c:v>150000000</c:v>
                </c:pt>
                <c:pt idx="14">
                  <c:v>150000000</c:v>
                </c:pt>
                <c:pt idx="15">
                  <c:v>150000000</c:v>
                </c:pt>
                <c:pt idx="16">
                  <c:v>150000000</c:v>
                </c:pt>
                <c:pt idx="17">
                  <c:v>150000000</c:v>
                </c:pt>
                <c:pt idx="18">
                  <c:v>150000000</c:v>
                </c:pt>
                <c:pt idx="19">
                  <c:v>150000000</c:v>
                </c:pt>
                <c:pt idx="20">
                  <c:v>150000000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8-4257-B7A3-496E0E55BCDA}"/>
            </c:ext>
          </c:extLst>
        </c:ser>
        <c:ser>
          <c:idx val="1"/>
          <c:order val="1"/>
          <c:tx>
            <c:strRef>
              <c:f>ผลตอบแทนผู้ลงทุน!$A$20</c:f>
              <c:strCache>
                <c:ptCount val="1"/>
                <c:pt idx="0">
                  <c:v>รายได้สะสม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ผลตอบแทนผู้ลงทุน!$B$18:$V$18</c:f>
              <c:strCache>
                <c:ptCount val="21"/>
                <c:pt idx="0">
                  <c:v>ปีที่ 0</c:v>
                </c:pt>
                <c:pt idx="1">
                  <c:v>ปีที่ 1</c:v>
                </c:pt>
                <c:pt idx="2">
                  <c:v>ปีที่ 2</c:v>
                </c:pt>
                <c:pt idx="3">
                  <c:v>ปีที่ 3</c:v>
                </c:pt>
                <c:pt idx="4">
                  <c:v>ปีที่ 4</c:v>
                </c:pt>
                <c:pt idx="5">
                  <c:v>ปีที่ 5</c:v>
                </c:pt>
                <c:pt idx="6">
                  <c:v>ปีที่ 6</c:v>
                </c:pt>
                <c:pt idx="7">
                  <c:v>ปีที่ 7</c:v>
                </c:pt>
                <c:pt idx="8">
                  <c:v>ปีที่ 8</c:v>
                </c:pt>
                <c:pt idx="9">
                  <c:v>ปีที่ 9</c:v>
                </c:pt>
                <c:pt idx="10">
                  <c:v>ปีที่ 10</c:v>
                </c:pt>
                <c:pt idx="11">
                  <c:v>ปีที่ 11</c:v>
                </c:pt>
                <c:pt idx="12">
                  <c:v>ปีที่ 12</c:v>
                </c:pt>
                <c:pt idx="13">
                  <c:v>ปีที่ 13</c:v>
                </c:pt>
                <c:pt idx="14">
                  <c:v>ปีที่ 14</c:v>
                </c:pt>
                <c:pt idx="15">
                  <c:v>ปีที่ 15</c:v>
                </c:pt>
                <c:pt idx="16">
                  <c:v>ปีที่ 16</c:v>
                </c:pt>
                <c:pt idx="17">
                  <c:v>ปีที่ 17</c:v>
                </c:pt>
                <c:pt idx="18">
                  <c:v>ปีที่ 18</c:v>
                </c:pt>
                <c:pt idx="19">
                  <c:v>ปีที่ 19</c:v>
                </c:pt>
                <c:pt idx="20">
                  <c:v>ปีที่ 20</c:v>
                </c:pt>
              </c:strCache>
            </c:strRef>
          </c:cat>
          <c:val>
            <c:numRef>
              <c:f>ผลตอบแทนผู้ลงทุน!$B$20:$V$20</c:f>
              <c:numCache>
                <c:formatCode>General</c:formatCode>
                <c:ptCount val="21"/>
                <c:pt idx="0">
                  <c:v>0</c:v>
                </c:pt>
                <c:pt idx="1">
                  <c:v>29225150.750000004</c:v>
                </c:pt>
                <c:pt idx="2">
                  <c:v>58450301.500000007</c:v>
                </c:pt>
                <c:pt idx="3">
                  <c:v>87675452.250000015</c:v>
                </c:pt>
                <c:pt idx="4">
                  <c:v>116900603.00000001</c:v>
                </c:pt>
                <c:pt idx="5">
                  <c:v>146125753.75000003</c:v>
                </c:pt>
                <c:pt idx="6">
                  <c:v>175350904.50000003</c:v>
                </c:pt>
                <c:pt idx="7">
                  <c:v>192956417.00000003</c:v>
                </c:pt>
                <c:pt idx="8">
                  <c:v>210561929.50000003</c:v>
                </c:pt>
                <c:pt idx="9">
                  <c:v>228167442.00000003</c:v>
                </c:pt>
                <c:pt idx="10">
                  <c:v>245772954.50000003</c:v>
                </c:pt>
                <c:pt idx="11">
                  <c:v>263378467.00000003</c:v>
                </c:pt>
                <c:pt idx="12">
                  <c:v>280983979.50000006</c:v>
                </c:pt>
                <c:pt idx="13">
                  <c:v>298589492.00000006</c:v>
                </c:pt>
                <c:pt idx="14">
                  <c:v>316195004.50000006</c:v>
                </c:pt>
                <c:pt idx="15">
                  <c:v>333800517.00000006</c:v>
                </c:pt>
                <c:pt idx="16">
                  <c:v>351406029.50000006</c:v>
                </c:pt>
                <c:pt idx="17">
                  <c:v>369011542.00000006</c:v>
                </c:pt>
                <c:pt idx="18">
                  <c:v>386617054.50000006</c:v>
                </c:pt>
                <c:pt idx="19">
                  <c:v>404222567.00000006</c:v>
                </c:pt>
                <c:pt idx="20">
                  <c:v>421828079.50000006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8-4257-B7A3-496E0E55B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43696"/>
        <c:axId val="455545664"/>
      </c:lineChart>
      <c:catAx>
        <c:axId val="45554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5664"/>
        <c:crosses val="autoZero"/>
        <c:auto val="1"/>
        <c:lblAlgn val="ctr"/>
        <c:lblOffset val="100"/>
        <c:noMultiLvlLbl val="0"/>
      </c:catAx>
      <c:valAx>
        <c:axId val="4555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28</xdr:row>
      <xdr:rowOff>41910</xdr:rowOff>
    </xdr:from>
    <xdr:to>
      <xdr:col>6</xdr:col>
      <xdr:colOff>68580</xdr:colOff>
      <xdr:row>59</xdr:row>
      <xdr:rowOff>91440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abSelected="1" workbookViewId="0">
      <selection activeCell="A20" sqref="A20"/>
    </sheetView>
  </sheetViews>
  <sheetFormatPr defaultRowHeight="14.4" x14ac:dyDescent="0.3"/>
  <cols>
    <col min="1" max="1" width="53.6640625" bestFit="1" customWidth="1"/>
    <col min="2" max="2" width="15.77734375" customWidth="1"/>
    <col min="3" max="3" width="14.77734375" customWidth="1"/>
    <col min="4" max="5" width="14" customWidth="1"/>
    <col min="6" max="19" width="14.6640625" bestFit="1" customWidth="1"/>
    <col min="20" max="22" width="14" customWidth="1"/>
    <col min="23" max="23" width="15.77734375" customWidth="1"/>
  </cols>
  <sheetData>
    <row r="1" spans="1:23" x14ac:dyDescent="0.3">
      <c r="A1" t="s">
        <v>9</v>
      </c>
      <c r="D1" s="1"/>
    </row>
    <row r="2" spans="1:23" x14ac:dyDescent="0.3">
      <c r="A2" s="1" t="s">
        <v>0</v>
      </c>
      <c r="B2" s="2">
        <f>5000*5</f>
        <v>25000</v>
      </c>
      <c r="C2" s="1" t="s">
        <v>1</v>
      </c>
      <c r="D2" s="1"/>
    </row>
    <row r="3" spans="1:23" x14ac:dyDescent="0.3">
      <c r="A3" s="3" t="s">
        <v>2</v>
      </c>
      <c r="B3" s="3">
        <v>5</v>
      </c>
      <c r="C3" s="1" t="s">
        <v>3</v>
      </c>
      <c r="D3" s="1"/>
    </row>
    <row r="4" spans="1:23" x14ac:dyDescent="0.3">
      <c r="A4" s="2" t="s">
        <v>4</v>
      </c>
      <c r="B4" s="2">
        <v>52</v>
      </c>
      <c r="C4" s="1" t="s">
        <v>5</v>
      </c>
      <c r="D4" s="1"/>
    </row>
    <row r="5" spans="1:23" x14ac:dyDescent="0.3">
      <c r="A5" s="1" t="s">
        <v>6</v>
      </c>
      <c r="B5" s="22">
        <f>4.2*1.07</f>
        <v>4.4940000000000007</v>
      </c>
      <c r="C5" s="1" t="s">
        <v>7</v>
      </c>
      <c r="D5" s="1"/>
    </row>
    <row r="6" spans="1:23" x14ac:dyDescent="0.3">
      <c r="A6" s="4" t="s">
        <v>6</v>
      </c>
      <c r="B6" s="23">
        <f>2.5*1.07</f>
        <v>2.6750000000000003</v>
      </c>
      <c r="C6" s="4" t="s">
        <v>8</v>
      </c>
      <c r="D6" s="5"/>
    </row>
    <row r="7" spans="1:23" x14ac:dyDescent="0.3">
      <c r="A7" s="5" t="s">
        <v>42</v>
      </c>
      <c r="B7" s="5">
        <f>52*2+21</f>
        <v>125</v>
      </c>
      <c r="C7" s="4" t="s">
        <v>3</v>
      </c>
    </row>
    <row r="9" spans="1:23" s="6" customFormat="1" x14ac:dyDescent="0.3">
      <c r="A9" s="6" t="s">
        <v>10</v>
      </c>
      <c r="B9" s="6" t="s">
        <v>11</v>
      </c>
      <c r="C9" s="6" t="s">
        <v>12</v>
      </c>
      <c r="D9" s="6" t="s">
        <v>13</v>
      </c>
      <c r="E9" s="6" t="s">
        <v>14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6" t="s">
        <v>23</v>
      </c>
      <c r="O9" s="6" t="s">
        <v>24</v>
      </c>
      <c r="P9" s="6" t="s">
        <v>25</v>
      </c>
      <c r="Q9" s="6" t="s">
        <v>26</v>
      </c>
      <c r="R9" s="6" t="s">
        <v>27</v>
      </c>
      <c r="S9" s="6" t="s">
        <v>28</v>
      </c>
      <c r="T9" s="6" t="s">
        <v>29</v>
      </c>
      <c r="U9" s="6" t="s">
        <v>30</v>
      </c>
      <c r="V9" s="6" t="s">
        <v>31</v>
      </c>
    </row>
    <row r="10" spans="1:23" x14ac:dyDescent="0.3">
      <c r="A10" t="s">
        <v>33</v>
      </c>
    </row>
    <row r="11" spans="1:23" x14ac:dyDescent="0.3">
      <c r="A11" s="7" t="s">
        <v>34</v>
      </c>
      <c r="B11" s="8">
        <v>0</v>
      </c>
      <c r="C11" s="8">
        <f>(($B$4*$B$3-21)*$B$2*$B$5)+($B$7*$B$6*$B$2)</f>
        <v>35211025.000000007</v>
      </c>
      <c r="D11" s="8">
        <f t="shared" ref="D11:V11" si="0">(($B$4*$B$3-21)*$B$2*$B$5)+($B$7*$B$6*$B$2)</f>
        <v>35211025.000000007</v>
      </c>
      <c r="E11" s="8">
        <f t="shared" si="0"/>
        <v>35211025.000000007</v>
      </c>
      <c r="F11" s="8">
        <f t="shared" si="0"/>
        <v>35211025.000000007</v>
      </c>
      <c r="G11" s="8">
        <f t="shared" si="0"/>
        <v>35211025.000000007</v>
      </c>
      <c r="H11" s="8">
        <f t="shared" si="0"/>
        <v>35211025.000000007</v>
      </c>
      <c r="I11" s="8">
        <f t="shared" si="0"/>
        <v>35211025.000000007</v>
      </c>
      <c r="J11" s="8">
        <f t="shared" si="0"/>
        <v>35211025.000000007</v>
      </c>
      <c r="K11" s="8">
        <f t="shared" si="0"/>
        <v>35211025.000000007</v>
      </c>
      <c r="L11" s="8">
        <f t="shared" si="0"/>
        <v>35211025.000000007</v>
      </c>
      <c r="M11" s="8">
        <f t="shared" si="0"/>
        <v>35211025.000000007</v>
      </c>
      <c r="N11" s="8">
        <f t="shared" si="0"/>
        <v>35211025.000000007</v>
      </c>
      <c r="O11" s="8">
        <f t="shared" si="0"/>
        <v>35211025.000000007</v>
      </c>
      <c r="P11" s="8">
        <f t="shared" si="0"/>
        <v>35211025.000000007</v>
      </c>
      <c r="Q11" s="8">
        <f t="shared" si="0"/>
        <v>35211025.000000007</v>
      </c>
      <c r="R11" s="8">
        <f t="shared" si="0"/>
        <v>35211025.000000007</v>
      </c>
      <c r="S11" s="8">
        <f t="shared" si="0"/>
        <v>35211025.000000007</v>
      </c>
      <c r="T11" s="8">
        <f t="shared" si="0"/>
        <v>35211025.000000007</v>
      </c>
      <c r="U11" s="8">
        <f t="shared" si="0"/>
        <v>35211025.000000007</v>
      </c>
      <c r="V11" s="8">
        <f t="shared" si="0"/>
        <v>35211025.000000007</v>
      </c>
      <c r="W11" s="11">
        <f>SUM(B11:V11)</f>
        <v>704220500.00000012</v>
      </c>
    </row>
    <row r="12" spans="1:23" s="6" customFormat="1" x14ac:dyDescent="0.3">
      <c r="A12" s="7" t="s">
        <v>39</v>
      </c>
      <c r="B12" s="8">
        <v>150000000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1">
        <f t="shared" ref="W12:W13" si="1">SUM(B12:V12)</f>
        <v>150000000</v>
      </c>
    </row>
    <row r="13" spans="1:23" x14ac:dyDescent="0.3">
      <c r="A13" t="s">
        <v>32</v>
      </c>
      <c r="W13" s="11">
        <f t="shared" si="1"/>
        <v>0</v>
      </c>
    </row>
    <row r="14" spans="1:23" s="7" customFormat="1" x14ac:dyDescent="0.3">
      <c r="A14" s="7" t="s">
        <v>44</v>
      </c>
      <c r="B14" s="12">
        <f>B12</f>
        <v>150000000</v>
      </c>
      <c r="C14" s="9">
        <f>C11*17%</f>
        <v>5985874.2500000019</v>
      </c>
      <c r="D14" s="9">
        <f t="shared" ref="D14:H14" si="2">D11*17%</f>
        <v>5985874.2500000019</v>
      </c>
      <c r="E14" s="9">
        <f t="shared" si="2"/>
        <v>5985874.2500000019</v>
      </c>
      <c r="F14" s="9">
        <f t="shared" si="2"/>
        <v>5985874.2500000019</v>
      </c>
      <c r="G14" s="9">
        <f t="shared" si="2"/>
        <v>5985874.2500000019</v>
      </c>
      <c r="H14" s="9">
        <f t="shared" si="2"/>
        <v>5985874.2500000019</v>
      </c>
      <c r="I14" s="9">
        <f t="shared" ref="I14:U14" si="3">I11*50%</f>
        <v>17605512.500000004</v>
      </c>
      <c r="J14" s="9">
        <f t="shared" si="3"/>
        <v>17605512.500000004</v>
      </c>
      <c r="K14" s="9">
        <f t="shared" si="3"/>
        <v>17605512.500000004</v>
      </c>
      <c r="L14" s="9">
        <f t="shared" si="3"/>
        <v>17605512.500000004</v>
      </c>
      <c r="M14" s="9">
        <f t="shared" si="3"/>
        <v>17605512.500000004</v>
      </c>
      <c r="N14" s="9">
        <f t="shared" si="3"/>
        <v>17605512.500000004</v>
      </c>
      <c r="O14" s="9">
        <f t="shared" si="3"/>
        <v>17605512.500000004</v>
      </c>
      <c r="P14" s="9">
        <f t="shared" si="3"/>
        <v>17605512.500000004</v>
      </c>
      <c r="Q14" s="9">
        <f t="shared" si="3"/>
        <v>17605512.500000004</v>
      </c>
      <c r="R14" s="9">
        <f t="shared" si="3"/>
        <v>17605512.500000004</v>
      </c>
      <c r="S14" s="9">
        <f t="shared" si="3"/>
        <v>17605512.500000004</v>
      </c>
      <c r="T14" s="9">
        <f t="shared" si="3"/>
        <v>17605512.500000004</v>
      </c>
      <c r="U14" s="9">
        <f t="shared" si="3"/>
        <v>17605512.500000004</v>
      </c>
      <c r="V14" s="9">
        <f>V11*50%</f>
        <v>17605512.500000004</v>
      </c>
      <c r="W14" s="11">
        <f>SUM(C14:V14)</f>
        <v>282392420.50000006</v>
      </c>
    </row>
    <row r="15" spans="1:23" s="7" customFormat="1" x14ac:dyDescent="0.3">
      <c r="A15" s="7" t="s">
        <v>38</v>
      </c>
      <c r="B15" s="19">
        <v>20000000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1">
        <f>SUM(B15:V15)</f>
        <v>20000000</v>
      </c>
    </row>
    <row r="16" spans="1:23" s="7" customFormat="1" x14ac:dyDescent="0.3">
      <c r="A16" s="7" t="s">
        <v>43</v>
      </c>
      <c r="B16" s="8">
        <f>B11*40%</f>
        <v>0</v>
      </c>
      <c r="C16" s="9">
        <f>C11*83%</f>
        <v>29225150.750000004</v>
      </c>
      <c r="D16" s="9">
        <f t="shared" ref="D16:H16" si="4">D11*83%</f>
        <v>29225150.750000004</v>
      </c>
      <c r="E16" s="9">
        <f t="shared" si="4"/>
        <v>29225150.750000004</v>
      </c>
      <c r="F16" s="9">
        <f t="shared" si="4"/>
        <v>29225150.750000004</v>
      </c>
      <c r="G16" s="9">
        <f t="shared" si="4"/>
        <v>29225150.750000004</v>
      </c>
      <c r="H16" s="9">
        <f t="shared" si="4"/>
        <v>29225150.750000004</v>
      </c>
      <c r="I16" s="9">
        <f>I11*50%</f>
        <v>17605512.500000004</v>
      </c>
      <c r="J16" s="9">
        <f t="shared" ref="J16:V16" si="5">J11*50%</f>
        <v>17605512.500000004</v>
      </c>
      <c r="K16" s="9">
        <f t="shared" si="5"/>
        <v>17605512.500000004</v>
      </c>
      <c r="L16" s="9">
        <f t="shared" si="5"/>
        <v>17605512.500000004</v>
      </c>
      <c r="M16" s="9">
        <f t="shared" si="5"/>
        <v>17605512.500000004</v>
      </c>
      <c r="N16" s="9">
        <f t="shared" si="5"/>
        <v>17605512.500000004</v>
      </c>
      <c r="O16" s="9">
        <f t="shared" si="5"/>
        <v>17605512.500000004</v>
      </c>
      <c r="P16" s="9">
        <f t="shared" si="5"/>
        <v>17605512.500000004</v>
      </c>
      <c r="Q16" s="9">
        <f t="shared" si="5"/>
        <v>17605512.500000004</v>
      </c>
      <c r="R16" s="9">
        <f t="shared" si="5"/>
        <v>17605512.500000004</v>
      </c>
      <c r="S16" s="9">
        <f t="shared" si="5"/>
        <v>17605512.500000004</v>
      </c>
      <c r="T16" s="9">
        <f t="shared" si="5"/>
        <v>17605512.500000004</v>
      </c>
      <c r="U16" s="9">
        <f t="shared" si="5"/>
        <v>17605512.500000004</v>
      </c>
      <c r="V16" s="9">
        <f t="shared" si="5"/>
        <v>17605512.500000004</v>
      </c>
      <c r="W16" s="21">
        <f>SUM(C16:V16)</f>
        <v>421828079.50000006</v>
      </c>
    </row>
    <row r="17" spans="1:22" s="26" customFormat="1" x14ac:dyDescent="0.3">
      <c r="B17" s="27">
        <f>B16-B12</f>
        <v>-150000000</v>
      </c>
      <c r="C17" s="27">
        <f t="shared" ref="C17:V17" si="6">C16-C12</f>
        <v>29225150.750000004</v>
      </c>
      <c r="D17" s="27">
        <f t="shared" si="6"/>
        <v>29225150.750000004</v>
      </c>
      <c r="E17" s="27">
        <f t="shared" si="6"/>
        <v>29225150.750000004</v>
      </c>
      <c r="F17" s="27">
        <f t="shared" si="6"/>
        <v>29225150.750000004</v>
      </c>
      <c r="G17" s="27">
        <f t="shared" si="6"/>
        <v>29225150.750000004</v>
      </c>
      <c r="H17" s="27">
        <f t="shared" si="6"/>
        <v>29225150.750000004</v>
      </c>
      <c r="I17" s="27">
        <f t="shared" si="6"/>
        <v>17605512.500000004</v>
      </c>
      <c r="J17" s="27">
        <f t="shared" si="6"/>
        <v>17605512.500000004</v>
      </c>
      <c r="K17" s="27">
        <f t="shared" si="6"/>
        <v>17605512.500000004</v>
      </c>
      <c r="L17" s="27">
        <f t="shared" si="6"/>
        <v>17605512.500000004</v>
      </c>
      <c r="M17" s="27">
        <f t="shared" si="6"/>
        <v>17605512.500000004</v>
      </c>
      <c r="N17" s="27">
        <f t="shared" si="6"/>
        <v>17605512.500000004</v>
      </c>
      <c r="O17" s="27">
        <f t="shared" si="6"/>
        <v>17605512.500000004</v>
      </c>
      <c r="P17" s="27">
        <f t="shared" si="6"/>
        <v>17605512.500000004</v>
      </c>
      <c r="Q17" s="27">
        <f t="shared" si="6"/>
        <v>17605512.500000004</v>
      </c>
      <c r="R17" s="27">
        <f t="shared" si="6"/>
        <v>17605512.500000004</v>
      </c>
      <c r="S17" s="27">
        <f t="shared" si="6"/>
        <v>17605512.500000004</v>
      </c>
      <c r="T17" s="27">
        <f t="shared" si="6"/>
        <v>17605512.500000004</v>
      </c>
      <c r="U17" s="27">
        <f t="shared" si="6"/>
        <v>17605512.500000004</v>
      </c>
      <c r="V17" s="27">
        <f t="shared" si="6"/>
        <v>17605512.500000004</v>
      </c>
    </row>
    <row r="18" spans="1:22" s="26" customFormat="1" x14ac:dyDescent="0.3">
      <c r="A18" s="26" t="s">
        <v>10</v>
      </c>
      <c r="B18" s="27" t="s">
        <v>11</v>
      </c>
      <c r="C18" s="27" t="s">
        <v>12</v>
      </c>
      <c r="D18" s="27" t="s">
        <v>13</v>
      </c>
      <c r="E18" s="27" t="s">
        <v>14</v>
      </c>
      <c r="F18" s="27" t="s">
        <v>15</v>
      </c>
      <c r="G18" s="27" t="s">
        <v>16</v>
      </c>
      <c r="H18" s="27" t="s">
        <v>17</v>
      </c>
      <c r="I18" s="27" t="s">
        <v>18</v>
      </c>
      <c r="J18" s="27" t="s">
        <v>19</v>
      </c>
      <c r="K18" s="27" t="s">
        <v>20</v>
      </c>
      <c r="L18" s="27" t="s">
        <v>21</v>
      </c>
      <c r="M18" s="27" t="s">
        <v>22</v>
      </c>
      <c r="N18" s="27" t="s">
        <v>23</v>
      </c>
      <c r="O18" s="27" t="s">
        <v>24</v>
      </c>
      <c r="P18" s="27" t="s">
        <v>25</v>
      </c>
      <c r="Q18" s="27" t="s">
        <v>26</v>
      </c>
      <c r="R18" s="27" t="s">
        <v>27</v>
      </c>
      <c r="S18" s="27" t="s">
        <v>28</v>
      </c>
      <c r="T18" s="27" t="s">
        <v>29</v>
      </c>
      <c r="U18" s="27" t="s">
        <v>30</v>
      </c>
      <c r="V18" s="27" t="s">
        <v>31</v>
      </c>
    </row>
    <row r="19" spans="1:22" s="26" customFormat="1" x14ac:dyDescent="0.3">
      <c r="A19" s="26" t="s">
        <v>53</v>
      </c>
      <c r="B19" s="28">
        <v>150000000</v>
      </c>
      <c r="C19" s="28">
        <f>0+B19</f>
        <v>150000000</v>
      </c>
      <c r="D19" s="28">
        <f t="shared" ref="D19:V19" si="7">0+C19</f>
        <v>150000000</v>
      </c>
      <c r="E19" s="28">
        <f t="shared" si="7"/>
        <v>150000000</v>
      </c>
      <c r="F19" s="28">
        <f t="shared" si="7"/>
        <v>150000000</v>
      </c>
      <c r="G19" s="28">
        <f t="shared" si="7"/>
        <v>150000000</v>
      </c>
      <c r="H19" s="28">
        <f t="shared" si="7"/>
        <v>150000000</v>
      </c>
      <c r="I19" s="28">
        <f t="shared" si="7"/>
        <v>150000000</v>
      </c>
      <c r="J19" s="28">
        <f t="shared" si="7"/>
        <v>150000000</v>
      </c>
      <c r="K19" s="28">
        <f t="shared" si="7"/>
        <v>150000000</v>
      </c>
      <c r="L19" s="28">
        <f t="shared" si="7"/>
        <v>150000000</v>
      </c>
      <c r="M19" s="28">
        <f t="shared" si="7"/>
        <v>150000000</v>
      </c>
      <c r="N19" s="28">
        <f t="shared" si="7"/>
        <v>150000000</v>
      </c>
      <c r="O19" s="28">
        <f t="shared" si="7"/>
        <v>150000000</v>
      </c>
      <c r="P19" s="28">
        <f t="shared" si="7"/>
        <v>150000000</v>
      </c>
      <c r="Q19" s="28">
        <f t="shared" si="7"/>
        <v>150000000</v>
      </c>
      <c r="R19" s="28">
        <f t="shared" si="7"/>
        <v>150000000</v>
      </c>
      <c r="S19" s="28">
        <f t="shared" si="7"/>
        <v>150000000</v>
      </c>
      <c r="T19" s="28">
        <f t="shared" si="7"/>
        <v>150000000</v>
      </c>
      <c r="U19" s="28">
        <f t="shared" si="7"/>
        <v>150000000</v>
      </c>
      <c r="V19" s="28">
        <f t="shared" si="7"/>
        <v>150000000</v>
      </c>
    </row>
    <row r="20" spans="1:22" s="26" customFormat="1" x14ac:dyDescent="0.3">
      <c r="A20" s="26" t="s">
        <v>52</v>
      </c>
      <c r="B20" s="28">
        <v>0</v>
      </c>
      <c r="C20" s="28">
        <f>C17</f>
        <v>29225150.750000004</v>
      </c>
      <c r="D20" s="28">
        <f t="shared" ref="D20:V20" si="8">C20+D17</f>
        <v>58450301.500000007</v>
      </c>
      <c r="E20" s="28">
        <f t="shared" si="8"/>
        <v>87675452.250000015</v>
      </c>
      <c r="F20" s="28">
        <f t="shared" si="8"/>
        <v>116900603.00000001</v>
      </c>
      <c r="G20" s="28">
        <f t="shared" si="8"/>
        <v>146125753.75000003</v>
      </c>
      <c r="H20" s="28">
        <f t="shared" si="8"/>
        <v>175350904.50000003</v>
      </c>
      <c r="I20" s="28">
        <f t="shared" si="8"/>
        <v>192956417.00000003</v>
      </c>
      <c r="J20" s="28">
        <f t="shared" si="8"/>
        <v>210561929.50000003</v>
      </c>
      <c r="K20" s="28">
        <f t="shared" si="8"/>
        <v>228167442.00000003</v>
      </c>
      <c r="L20" s="28">
        <f t="shared" si="8"/>
        <v>245772954.50000003</v>
      </c>
      <c r="M20" s="28">
        <f t="shared" si="8"/>
        <v>263378467.00000003</v>
      </c>
      <c r="N20" s="28">
        <f t="shared" si="8"/>
        <v>280983979.50000006</v>
      </c>
      <c r="O20" s="28">
        <f t="shared" si="8"/>
        <v>298589492.00000006</v>
      </c>
      <c r="P20" s="28">
        <f t="shared" si="8"/>
        <v>316195004.50000006</v>
      </c>
      <c r="Q20" s="28">
        <f t="shared" si="8"/>
        <v>333800517.00000006</v>
      </c>
      <c r="R20" s="28">
        <f t="shared" si="8"/>
        <v>351406029.50000006</v>
      </c>
      <c r="S20" s="28">
        <f t="shared" si="8"/>
        <v>369011542.00000006</v>
      </c>
      <c r="T20" s="28">
        <f t="shared" si="8"/>
        <v>386617054.50000006</v>
      </c>
      <c r="U20" s="28">
        <f t="shared" si="8"/>
        <v>404222567.00000006</v>
      </c>
      <c r="V20" s="28">
        <f t="shared" si="8"/>
        <v>421828079.50000006</v>
      </c>
    </row>
    <row r="21" spans="1:22" s="16" customFormat="1" x14ac:dyDescent="0.3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s="16" customFormat="1" x14ac:dyDescent="0.3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s="16" customFormat="1" x14ac:dyDescent="0.3">
      <c r="A23" s="18" t="s">
        <v>41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x14ac:dyDescent="0.3">
      <c r="A24" s="13" t="s">
        <v>35</v>
      </c>
      <c r="B24" s="14">
        <f>NPV(0.075,B12,B16:V16)</f>
        <v>342040058.37727702</v>
      </c>
      <c r="C24" s="20">
        <f>B24/B14</f>
        <v>2.2802670558485136</v>
      </c>
      <c r="D24" t="s">
        <v>40</v>
      </c>
    </row>
    <row r="25" spans="1:22" x14ac:dyDescent="0.3">
      <c r="A25" s="13" t="s">
        <v>36</v>
      </c>
      <c r="B25" s="15">
        <f>IRR(B17:V17,0.075)</f>
        <v>0.15587686320803873</v>
      </c>
    </row>
    <row r="26" spans="1:22" x14ac:dyDescent="0.3">
      <c r="A26" s="13" t="s">
        <v>45</v>
      </c>
      <c r="B26" s="25">
        <v>5.17</v>
      </c>
      <c r="C26" s="24" t="s">
        <v>47</v>
      </c>
      <c r="D26" t="s">
        <v>46</v>
      </c>
      <c r="E26" t="s">
        <v>46</v>
      </c>
    </row>
    <row r="27" spans="1:22" x14ac:dyDescent="0.3">
      <c r="A27" s="18" t="s">
        <v>37</v>
      </c>
      <c r="B27" t="s">
        <v>48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A20" sqref="A20"/>
    </sheetView>
  </sheetViews>
  <sheetFormatPr defaultRowHeight="14.4" x14ac:dyDescent="0.3"/>
  <cols>
    <col min="1" max="1" width="53.6640625" bestFit="1" customWidth="1"/>
    <col min="2" max="2" width="15.77734375" customWidth="1"/>
    <col min="3" max="3" width="14.77734375" customWidth="1"/>
    <col min="4" max="22" width="14" customWidth="1"/>
    <col min="23" max="23" width="15.77734375" customWidth="1"/>
  </cols>
  <sheetData>
    <row r="1" spans="1:23" x14ac:dyDescent="0.3">
      <c r="A1" t="s">
        <v>9</v>
      </c>
      <c r="D1" s="1"/>
    </row>
    <row r="2" spans="1:23" x14ac:dyDescent="0.3">
      <c r="A2" s="1" t="s">
        <v>0</v>
      </c>
      <c r="B2" s="2">
        <f>5000*5</f>
        <v>25000</v>
      </c>
      <c r="C2" s="1" t="s">
        <v>1</v>
      </c>
      <c r="D2" s="1"/>
    </row>
    <row r="3" spans="1:23" x14ac:dyDescent="0.3">
      <c r="A3" s="3" t="s">
        <v>2</v>
      </c>
      <c r="B3" s="3">
        <v>5</v>
      </c>
      <c r="C3" s="1" t="s">
        <v>3</v>
      </c>
      <c r="D3" s="1"/>
    </row>
    <row r="4" spans="1:23" x14ac:dyDescent="0.3">
      <c r="A4" s="2" t="s">
        <v>4</v>
      </c>
      <c r="B4" s="2">
        <v>52</v>
      </c>
      <c r="C4" s="1" t="s">
        <v>5</v>
      </c>
      <c r="D4" s="1"/>
    </row>
    <row r="5" spans="1:23" x14ac:dyDescent="0.3">
      <c r="A5" s="1" t="s">
        <v>6</v>
      </c>
      <c r="B5" s="22">
        <f>4.2*1.07</f>
        <v>4.4940000000000007</v>
      </c>
      <c r="C5" s="1" t="s">
        <v>7</v>
      </c>
      <c r="D5" s="1"/>
    </row>
    <row r="6" spans="1:23" x14ac:dyDescent="0.3">
      <c r="A6" s="4" t="s">
        <v>6</v>
      </c>
      <c r="B6" s="23">
        <f>2.5*1.07</f>
        <v>2.6750000000000003</v>
      </c>
      <c r="C6" s="4" t="s">
        <v>8</v>
      </c>
      <c r="D6" s="5"/>
    </row>
    <row r="7" spans="1:23" x14ac:dyDescent="0.3">
      <c r="A7" s="5" t="s">
        <v>42</v>
      </c>
      <c r="B7" s="5">
        <f>52*2+21</f>
        <v>125</v>
      </c>
      <c r="C7" s="4" t="s">
        <v>3</v>
      </c>
    </row>
    <row r="9" spans="1:23" s="6" customFormat="1" x14ac:dyDescent="0.3">
      <c r="A9" s="6" t="s">
        <v>10</v>
      </c>
      <c r="B9" s="6" t="s">
        <v>11</v>
      </c>
      <c r="C9" s="6" t="s">
        <v>12</v>
      </c>
      <c r="D9" s="6" t="s">
        <v>13</v>
      </c>
      <c r="E9" s="6" t="s">
        <v>14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6" t="s">
        <v>23</v>
      </c>
      <c r="O9" s="6" t="s">
        <v>24</v>
      </c>
      <c r="P9" s="6" t="s">
        <v>25</v>
      </c>
      <c r="Q9" s="6" t="s">
        <v>26</v>
      </c>
      <c r="R9" s="6" t="s">
        <v>27</v>
      </c>
      <c r="S9" s="6" t="s">
        <v>28</v>
      </c>
      <c r="T9" s="6" t="s">
        <v>29</v>
      </c>
      <c r="U9" s="6" t="s">
        <v>30</v>
      </c>
      <c r="V9" s="6" t="s">
        <v>31</v>
      </c>
    </row>
    <row r="10" spans="1:23" x14ac:dyDescent="0.3">
      <c r="A10" t="s">
        <v>33</v>
      </c>
    </row>
    <row r="11" spans="1:23" x14ac:dyDescent="0.3">
      <c r="A11" s="7" t="s">
        <v>34</v>
      </c>
      <c r="B11" s="8">
        <v>0</v>
      </c>
      <c r="C11" s="8">
        <f>(($B$4*$B$3-21)*$B$2*$B$5)+($B$7*$B$6*$B$2)</f>
        <v>35211025.000000007</v>
      </c>
      <c r="D11" s="8">
        <f t="shared" ref="D11:V11" si="0">(($B$4*$B$3-21)*$B$2*$B$5)+($B$7*$B$6*$B$2)</f>
        <v>35211025.000000007</v>
      </c>
      <c r="E11" s="8">
        <f t="shared" si="0"/>
        <v>35211025.000000007</v>
      </c>
      <c r="F11" s="8">
        <f t="shared" si="0"/>
        <v>35211025.000000007</v>
      </c>
      <c r="G11" s="8">
        <f t="shared" si="0"/>
        <v>35211025.000000007</v>
      </c>
      <c r="H11" s="8">
        <f t="shared" si="0"/>
        <v>35211025.000000007</v>
      </c>
      <c r="I11" s="8">
        <f t="shared" si="0"/>
        <v>35211025.000000007</v>
      </c>
      <c r="J11" s="8">
        <f t="shared" si="0"/>
        <v>35211025.000000007</v>
      </c>
      <c r="K11" s="8">
        <f t="shared" si="0"/>
        <v>35211025.000000007</v>
      </c>
      <c r="L11" s="8">
        <f t="shared" si="0"/>
        <v>35211025.000000007</v>
      </c>
      <c r="M11" s="8">
        <f t="shared" si="0"/>
        <v>35211025.000000007</v>
      </c>
      <c r="N11" s="8">
        <f t="shared" si="0"/>
        <v>35211025.000000007</v>
      </c>
      <c r="O11" s="8">
        <f t="shared" si="0"/>
        <v>35211025.000000007</v>
      </c>
      <c r="P11" s="8">
        <f t="shared" si="0"/>
        <v>35211025.000000007</v>
      </c>
      <c r="Q11" s="8">
        <f t="shared" si="0"/>
        <v>35211025.000000007</v>
      </c>
      <c r="R11" s="8">
        <f t="shared" si="0"/>
        <v>35211025.000000007</v>
      </c>
      <c r="S11" s="8">
        <f t="shared" si="0"/>
        <v>35211025.000000007</v>
      </c>
      <c r="T11" s="8">
        <f t="shared" si="0"/>
        <v>35211025.000000007</v>
      </c>
      <c r="U11" s="8">
        <f t="shared" si="0"/>
        <v>35211025.000000007</v>
      </c>
      <c r="V11" s="8">
        <f t="shared" si="0"/>
        <v>35211025.000000007</v>
      </c>
      <c r="W11" s="11">
        <f>SUM(B11:V11)</f>
        <v>704220500.00000012</v>
      </c>
    </row>
    <row r="12" spans="1:23" s="6" customFormat="1" x14ac:dyDescent="0.3">
      <c r="A12" s="7" t="s">
        <v>39</v>
      </c>
      <c r="B12" s="8">
        <v>150000000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1">
        <f t="shared" ref="W12:W13" si="1">SUM(B12:V12)</f>
        <v>150000000</v>
      </c>
    </row>
    <row r="13" spans="1:23" x14ac:dyDescent="0.3">
      <c r="A13" t="s">
        <v>32</v>
      </c>
      <c r="W13" s="11">
        <f t="shared" si="1"/>
        <v>0</v>
      </c>
    </row>
    <row r="14" spans="1:23" s="7" customFormat="1" x14ac:dyDescent="0.3">
      <c r="A14" s="29" t="s">
        <v>44</v>
      </c>
      <c r="B14" s="30">
        <f>B12</f>
        <v>150000000</v>
      </c>
      <c r="C14" s="31">
        <f>C11*17%</f>
        <v>5985874.2500000019</v>
      </c>
      <c r="D14" s="31">
        <f t="shared" ref="D14:H14" si="2">D11*17%</f>
        <v>5985874.2500000019</v>
      </c>
      <c r="E14" s="31">
        <f t="shared" si="2"/>
        <v>5985874.2500000019</v>
      </c>
      <c r="F14" s="31">
        <f t="shared" si="2"/>
        <v>5985874.2500000019</v>
      </c>
      <c r="G14" s="31">
        <f t="shared" si="2"/>
        <v>5985874.2500000019</v>
      </c>
      <c r="H14" s="31">
        <f t="shared" si="2"/>
        <v>5985874.2500000019</v>
      </c>
      <c r="I14" s="31">
        <f t="shared" ref="I14:U14" si="3">I11*50%</f>
        <v>17605512.500000004</v>
      </c>
      <c r="J14" s="31">
        <f t="shared" si="3"/>
        <v>17605512.500000004</v>
      </c>
      <c r="K14" s="31">
        <f t="shared" si="3"/>
        <v>17605512.500000004</v>
      </c>
      <c r="L14" s="31">
        <f t="shared" si="3"/>
        <v>17605512.500000004</v>
      </c>
      <c r="M14" s="31">
        <f t="shared" si="3"/>
        <v>17605512.500000004</v>
      </c>
      <c r="N14" s="31">
        <f t="shared" si="3"/>
        <v>17605512.500000004</v>
      </c>
      <c r="O14" s="31">
        <f t="shared" si="3"/>
        <v>17605512.500000004</v>
      </c>
      <c r="P14" s="31">
        <f t="shared" si="3"/>
        <v>17605512.500000004</v>
      </c>
      <c r="Q14" s="31">
        <f t="shared" si="3"/>
        <v>17605512.500000004</v>
      </c>
      <c r="R14" s="31">
        <f t="shared" si="3"/>
        <v>17605512.500000004</v>
      </c>
      <c r="S14" s="31">
        <f t="shared" si="3"/>
        <v>17605512.500000004</v>
      </c>
      <c r="T14" s="31">
        <f t="shared" si="3"/>
        <v>17605512.500000004</v>
      </c>
      <c r="U14" s="31">
        <f t="shared" si="3"/>
        <v>17605512.500000004</v>
      </c>
      <c r="V14" s="31">
        <f>V11*50%</f>
        <v>17605512.500000004</v>
      </c>
      <c r="W14" s="11">
        <f>SUM(C14:V14)</f>
        <v>282392420.50000006</v>
      </c>
    </row>
    <row r="15" spans="1:23" s="7" customFormat="1" x14ac:dyDescent="0.3">
      <c r="A15" s="29" t="s">
        <v>49</v>
      </c>
      <c r="B15" s="30"/>
      <c r="C15" s="31">
        <f>C14-C17</f>
        <v>4485874.2500000019</v>
      </c>
      <c r="D15" s="31">
        <f t="shared" ref="D15:H15" si="4">D14-D17</f>
        <v>4485874.2500000019</v>
      </c>
      <c r="E15" s="31">
        <f t="shared" si="4"/>
        <v>4485874.2500000019</v>
      </c>
      <c r="F15" s="31">
        <f t="shared" si="4"/>
        <v>4485874.2500000019</v>
      </c>
      <c r="G15" s="31">
        <f t="shared" si="4"/>
        <v>4485874.2500000019</v>
      </c>
      <c r="H15" s="31">
        <f t="shared" si="4"/>
        <v>4485874.2500000019</v>
      </c>
      <c r="I15" s="31">
        <f t="shared" ref="I15" si="5">I14-I17</f>
        <v>10105512.500000004</v>
      </c>
      <c r="J15" s="31">
        <f t="shared" ref="J15" si="6">J14-J17</f>
        <v>10105512.500000004</v>
      </c>
      <c r="K15" s="31">
        <f t="shared" ref="K15" si="7">K14-K17</f>
        <v>10105512.500000004</v>
      </c>
      <c r="L15" s="31">
        <f t="shared" ref="L15" si="8">L14-L17</f>
        <v>10105512.500000004</v>
      </c>
      <c r="M15" s="31">
        <f t="shared" ref="M15" si="9">M14-M17</f>
        <v>10105512.500000004</v>
      </c>
      <c r="N15" s="31">
        <f t="shared" ref="N15" si="10">N14-N17</f>
        <v>10105512.500000004</v>
      </c>
      <c r="O15" s="31">
        <f t="shared" ref="O15" si="11">O14-O17</f>
        <v>10105512.500000004</v>
      </c>
      <c r="P15" s="31">
        <f t="shared" ref="P15" si="12">P14-P17</f>
        <v>10105512.500000004</v>
      </c>
      <c r="Q15" s="31">
        <f t="shared" ref="Q15" si="13">Q14-Q17</f>
        <v>10105512.500000004</v>
      </c>
      <c r="R15" s="31">
        <f t="shared" ref="R15" si="14">R14-R17</f>
        <v>10105512.500000004</v>
      </c>
      <c r="S15" s="31">
        <f t="shared" ref="S15" si="15">S14-S17</f>
        <v>10105512.500000004</v>
      </c>
      <c r="T15" s="31">
        <f t="shared" ref="T15" si="16">T14-T17</f>
        <v>10105512.500000004</v>
      </c>
      <c r="U15" s="31">
        <f t="shared" ref="U15" si="17">U14-U17</f>
        <v>10105512.500000004</v>
      </c>
      <c r="V15" s="31">
        <f t="shared" ref="V15" si="18">V14-V17</f>
        <v>10105512.500000004</v>
      </c>
      <c r="W15" s="11"/>
    </row>
    <row r="16" spans="1:23" s="7" customFormat="1" x14ac:dyDescent="0.3">
      <c r="A16" s="29" t="s">
        <v>50</v>
      </c>
      <c r="B16" s="32">
        <v>150000000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11"/>
    </row>
    <row r="17" spans="1:23" s="7" customFormat="1" x14ac:dyDescent="0.3">
      <c r="A17" s="29" t="s">
        <v>51</v>
      </c>
      <c r="B17" s="32"/>
      <c r="C17" s="31">
        <f>$B$16*1%</f>
        <v>1500000</v>
      </c>
      <c r="D17" s="31">
        <f t="shared" ref="D17:H17" si="19">$B$16*1%</f>
        <v>1500000</v>
      </c>
      <c r="E17" s="31">
        <f t="shared" si="19"/>
        <v>1500000</v>
      </c>
      <c r="F17" s="31">
        <f t="shared" si="19"/>
        <v>1500000</v>
      </c>
      <c r="G17" s="31">
        <f t="shared" si="19"/>
        <v>1500000</v>
      </c>
      <c r="H17" s="31">
        <f t="shared" si="19"/>
        <v>1500000</v>
      </c>
      <c r="I17" s="31">
        <f t="shared" ref="I17:V17" si="20">$B$16*5%</f>
        <v>7500000</v>
      </c>
      <c r="J17" s="31">
        <f t="shared" si="20"/>
        <v>7500000</v>
      </c>
      <c r="K17" s="31">
        <f t="shared" si="20"/>
        <v>7500000</v>
      </c>
      <c r="L17" s="31">
        <f t="shared" si="20"/>
        <v>7500000</v>
      </c>
      <c r="M17" s="31">
        <f t="shared" si="20"/>
        <v>7500000</v>
      </c>
      <c r="N17" s="31">
        <f t="shared" si="20"/>
        <v>7500000</v>
      </c>
      <c r="O17" s="31">
        <f t="shared" si="20"/>
        <v>7500000</v>
      </c>
      <c r="P17" s="31">
        <f t="shared" si="20"/>
        <v>7500000</v>
      </c>
      <c r="Q17" s="31">
        <f t="shared" si="20"/>
        <v>7500000</v>
      </c>
      <c r="R17" s="31">
        <f t="shared" si="20"/>
        <v>7500000</v>
      </c>
      <c r="S17" s="31">
        <f t="shared" si="20"/>
        <v>7500000</v>
      </c>
      <c r="T17" s="31">
        <f t="shared" si="20"/>
        <v>7500000</v>
      </c>
      <c r="U17" s="31">
        <f t="shared" si="20"/>
        <v>7500000</v>
      </c>
      <c r="V17" s="31">
        <f t="shared" si="20"/>
        <v>7500000</v>
      </c>
      <c r="W17" s="11"/>
    </row>
    <row r="18" spans="1:23" s="7" customFormat="1" x14ac:dyDescent="0.3">
      <c r="A18" s="7" t="s">
        <v>38</v>
      </c>
      <c r="B18" s="19">
        <v>20000000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1">
        <f>SUM(B18:V18)</f>
        <v>20000000</v>
      </c>
    </row>
    <row r="19" spans="1:23" s="7" customFormat="1" x14ac:dyDescent="0.3">
      <c r="A19" s="7" t="s">
        <v>43</v>
      </c>
      <c r="B19" s="8">
        <f>B11*40%</f>
        <v>0</v>
      </c>
      <c r="C19" s="9">
        <f>C11*83%</f>
        <v>29225150.750000004</v>
      </c>
      <c r="D19" s="9">
        <f t="shared" ref="D19:H19" si="21">D11*83%</f>
        <v>29225150.750000004</v>
      </c>
      <c r="E19" s="9">
        <f t="shared" si="21"/>
        <v>29225150.750000004</v>
      </c>
      <c r="F19" s="9">
        <f t="shared" si="21"/>
        <v>29225150.750000004</v>
      </c>
      <c r="G19" s="9">
        <f t="shared" si="21"/>
        <v>29225150.750000004</v>
      </c>
      <c r="H19" s="9">
        <f t="shared" si="21"/>
        <v>29225150.750000004</v>
      </c>
      <c r="I19" s="9">
        <f>I11*50%</f>
        <v>17605512.500000004</v>
      </c>
      <c r="J19" s="9">
        <f t="shared" ref="J19:V19" si="22">J11*50%</f>
        <v>17605512.500000004</v>
      </c>
      <c r="K19" s="9">
        <f t="shared" si="22"/>
        <v>17605512.500000004</v>
      </c>
      <c r="L19" s="9">
        <f t="shared" si="22"/>
        <v>17605512.500000004</v>
      </c>
      <c r="M19" s="9">
        <f t="shared" si="22"/>
        <v>17605512.500000004</v>
      </c>
      <c r="N19" s="9">
        <f t="shared" si="22"/>
        <v>17605512.500000004</v>
      </c>
      <c r="O19" s="9">
        <f t="shared" si="22"/>
        <v>17605512.500000004</v>
      </c>
      <c r="P19" s="9">
        <f t="shared" si="22"/>
        <v>17605512.500000004</v>
      </c>
      <c r="Q19" s="9">
        <f t="shared" si="22"/>
        <v>17605512.500000004</v>
      </c>
      <c r="R19" s="9">
        <f t="shared" si="22"/>
        <v>17605512.500000004</v>
      </c>
      <c r="S19" s="9">
        <f t="shared" si="22"/>
        <v>17605512.500000004</v>
      </c>
      <c r="T19" s="9">
        <f t="shared" si="22"/>
        <v>17605512.500000004</v>
      </c>
      <c r="U19" s="9">
        <f t="shared" si="22"/>
        <v>17605512.500000004</v>
      </c>
      <c r="V19" s="9">
        <f t="shared" si="22"/>
        <v>17605512.500000004</v>
      </c>
      <c r="W19" s="21">
        <f>SUM(C19:V19)</f>
        <v>421828079.50000006</v>
      </c>
    </row>
    <row r="20" spans="1:23" s="26" customFormat="1" x14ac:dyDescent="0.3">
      <c r="B20" s="27">
        <f>B19-B12</f>
        <v>-150000000</v>
      </c>
      <c r="C20" s="27">
        <f t="shared" ref="C20:V20" si="23">C19-C12</f>
        <v>29225150.750000004</v>
      </c>
      <c r="D20" s="27">
        <f t="shared" si="23"/>
        <v>29225150.750000004</v>
      </c>
      <c r="E20" s="27">
        <f t="shared" si="23"/>
        <v>29225150.750000004</v>
      </c>
      <c r="F20" s="27">
        <f t="shared" si="23"/>
        <v>29225150.750000004</v>
      </c>
      <c r="G20" s="27">
        <f t="shared" si="23"/>
        <v>29225150.750000004</v>
      </c>
      <c r="H20" s="27">
        <f t="shared" si="23"/>
        <v>29225150.750000004</v>
      </c>
      <c r="I20" s="27">
        <f t="shared" si="23"/>
        <v>17605512.500000004</v>
      </c>
      <c r="J20" s="27">
        <f t="shared" si="23"/>
        <v>17605512.500000004</v>
      </c>
      <c r="K20" s="27">
        <f t="shared" si="23"/>
        <v>17605512.500000004</v>
      </c>
      <c r="L20" s="27">
        <f t="shared" si="23"/>
        <v>17605512.500000004</v>
      </c>
      <c r="M20" s="27">
        <f t="shared" si="23"/>
        <v>17605512.500000004</v>
      </c>
      <c r="N20" s="27">
        <f t="shared" si="23"/>
        <v>17605512.500000004</v>
      </c>
      <c r="O20" s="27">
        <f t="shared" si="23"/>
        <v>17605512.500000004</v>
      </c>
      <c r="P20" s="27">
        <f t="shared" si="23"/>
        <v>17605512.500000004</v>
      </c>
      <c r="Q20" s="27">
        <f t="shared" si="23"/>
        <v>17605512.500000004</v>
      </c>
      <c r="R20" s="27">
        <f t="shared" si="23"/>
        <v>17605512.500000004</v>
      </c>
      <c r="S20" s="27">
        <f t="shared" si="23"/>
        <v>17605512.500000004</v>
      </c>
      <c r="T20" s="27">
        <f t="shared" si="23"/>
        <v>17605512.500000004</v>
      </c>
      <c r="U20" s="27">
        <f t="shared" si="23"/>
        <v>17605512.500000004</v>
      </c>
      <c r="V20" s="27">
        <f t="shared" si="23"/>
        <v>17605512.500000004</v>
      </c>
    </row>
    <row r="21" spans="1:23" s="16" customFormat="1" x14ac:dyDescent="0.3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3" s="16" customFormat="1" x14ac:dyDescent="0.3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3" s="16" customFormat="1" x14ac:dyDescent="0.3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3" s="16" customFormat="1" x14ac:dyDescent="0.3">
      <c r="A24" s="18" t="s">
        <v>41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3" x14ac:dyDescent="0.3">
      <c r="A25" s="13" t="s">
        <v>35</v>
      </c>
      <c r="B25" s="14">
        <f>NPV(0.075,B12,B19:V19)</f>
        <v>342040058.37727702</v>
      </c>
      <c r="C25" s="20">
        <f>B25/B14</f>
        <v>2.2802670558485136</v>
      </c>
      <c r="D25" t="s">
        <v>40</v>
      </c>
    </row>
    <row r="26" spans="1:23" x14ac:dyDescent="0.3">
      <c r="A26" s="13" t="s">
        <v>36</v>
      </c>
      <c r="B26" s="15">
        <f>IRR(B20:V20,0.075)</f>
        <v>0.15587686320803873</v>
      </c>
    </row>
    <row r="27" spans="1:23" x14ac:dyDescent="0.3">
      <c r="A27" s="13" t="s">
        <v>45</v>
      </c>
      <c r="B27" s="25">
        <v>5.17</v>
      </c>
      <c r="C27" s="24" t="s">
        <v>47</v>
      </c>
      <c r="D27" t="s">
        <v>46</v>
      </c>
      <c r="E27" t="s">
        <v>46</v>
      </c>
    </row>
    <row r="28" spans="1:23" x14ac:dyDescent="0.3">
      <c r="A28" s="18" t="s">
        <v>37</v>
      </c>
      <c r="B28" t="s">
        <v>48</v>
      </c>
    </row>
  </sheetData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ผลตอบแทนผู้ลงทุน</vt:lpstr>
      <vt:lpstr>รายการใช้จ่าย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Chitgasame RM</dc:creator>
  <cp:lastModifiedBy>Thitima Manomansaddha</cp:lastModifiedBy>
  <dcterms:created xsi:type="dcterms:W3CDTF">2024-04-15T17:25:25Z</dcterms:created>
  <dcterms:modified xsi:type="dcterms:W3CDTF">2024-05-20T07:37:16Z</dcterms:modified>
</cp:coreProperties>
</file>